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Notandi\Desktop\"/>
    </mc:Choice>
  </mc:AlternateContent>
  <xr:revisionPtr revIDLastSave="0" documentId="13_ncr:1_{24ECBB55-BC35-4950-AF34-7B580E552496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4" i="1" l="1"/>
  <c r="H57" i="1"/>
  <c r="H47" i="1"/>
  <c r="H31" i="1"/>
  <c r="H13" i="1"/>
  <c r="D84" i="1"/>
  <c r="D85" i="1" s="1"/>
  <c r="E7" i="1"/>
  <c r="E25" i="1"/>
  <c r="E22" i="1" s="1"/>
  <c r="E31" i="1" s="1"/>
  <c r="E73" i="1"/>
  <c r="E75" i="1" s="1"/>
  <c r="E72" i="1"/>
  <c r="E45" i="1"/>
  <c r="E34" i="1"/>
  <c r="E9" i="1"/>
  <c r="E8" i="1"/>
  <c r="E85" i="1"/>
  <c r="E64" i="1"/>
  <c r="E57" i="1"/>
  <c r="D34" i="1"/>
  <c r="D47" i="1" s="1"/>
  <c r="D72" i="1"/>
  <c r="D73" i="1"/>
  <c r="D71" i="1"/>
  <c r="D75" i="1" s="1"/>
  <c r="D53" i="1"/>
  <c r="D57" i="1" s="1"/>
  <c r="D64" i="1"/>
  <c r="D31" i="1"/>
  <c r="D9" i="1"/>
  <c r="D7" i="1"/>
  <c r="D5" i="1" s="1"/>
  <c r="D13" i="1" s="1"/>
  <c r="C84" i="1"/>
  <c r="H66" i="1" l="1"/>
  <c r="E80" i="1"/>
  <c r="E81" i="1" s="1"/>
  <c r="E47" i="1"/>
  <c r="E13" i="1"/>
  <c r="D66" i="1"/>
  <c r="C5" i="1"/>
  <c r="C7" i="1"/>
  <c r="C9" i="1"/>
  <c r="C30" i="1"/>
  <c r="C31" i="1" s="1"/>
  <c r="C34" i="1"/>
  <c r="C39" i="1"/>
  <c r="C53" i="1"/>
  <c r="C57" i="1" s="1"/>
  <c r="C61" i="1"/>
  <c r="C64" i="1" s="1"/>
  <c r="C72" i="1"/>
  <c r="C85" i="1"/>
  <c r="C73" i="1"/>
  <c r="E66" i="1" l="1"/>
  <c r="C13" i="1"/>
  <c r="C47" i="1"/>
  <c r="C75" i="1"/>
  <c r="E87" i="1" l="1"/>
  <c r="C66" i="1"/>
  <c r="C81" i="1" l="1"/>
  <c r="D81" i="1" s="1"/>
  <c r="C87" i="1" l="1"/>
  <c r="D87" i="1" l="1"/>
  <c r="D80" i="1"/>
</calcChain>
</file>

<file path=xl/sharedStrings.xml><?xml version="1.0" encoding="utf-8"?>
<sst xmlns="http://schemas.openxmlformats.org/spreadsheetml/2006/main" count="74" uniqueCount="72">
  <si>
    <t>Tekjur</t>
  </si>
  <si>
    <t>Styrkir frá ÍSÍ</t>
  </si>
  <si>
    <t>Styrkur v.Skrifstofu</t>
  </si>
  <si>
    <t>Styrkur - Lottó</t>
  </si>
  <si>
    <t>Auglýsingatekjur</t>
  </si>
  <si>
    <t>Aðgangseyrir og Keppnisgjöld</t>
  </si>
  <si>
    <t>Verðlaunapeningar</t>
  </si>
  <si>
    <t>Dómgæsla</t>
  </si>
  <si>
    <t>Húsa- eða vallarleiga</t>
  </si>
  <si>
    <t>Annar mótakostnaður</t>
  </si>
  <si>
    <t>STEF gjöld</t>
  </si>
  <si>
    <t>Þjónustugjöld Visa/Euro</t>
  </si>
  <si>
    <t>Húsaleiga</t>
  </si>
  <si>
    <t>Funda- og þingkostnaður</t>
  </si>
  <si>
    <t>Tölvukostnaður</t>
  </si>
  <si>
    <t>Gjaldfærð áhöld</t>
  </si>
  <si>
    <t>Annar skrifstofukostnaður</t>
  </si>
  <si>
    <t>Ferðakostnaður v/wdsf</t>
  </si>
  <si>
    <t>WDSF Árgjald</t>
  </si>
  <si>
    <t>Þjónustugjöld banka</t>
  </si>
  <si>
    <t>Vaxtatekjur</t>
  </si>
  <si>
    <t>Vaxtagjöld</t>
  </si>
  <si>
    <t>Fjármagnstekjuskattur</t>
  </si>
  <si>
    <t>Gjöld - Landslið</t>
  </si>
  <si>
    <t>Fjármagnskostnaður</t>
  </si>
  <si>
    <t>Samtals fjármagnskostnaður</t>
  </si>
  <si>
    <t>Samtals Gjöld - Landslið</t>
  </si>
  <si>
    <t>Gjöld - Skrifstofa</t>
  </si>
  <si>
    <t>Samtals Gjöld - Skrifstofa</t>
  </si>
  <si>
    <t>Gjöld - Mót</t>
  </si>
  <si>
    <t>Samtals Gjöld - Mót</t>
  </si>
  <si>
    <t>Reikningar hjá ÍSÍ</t>
  </si>
  <si>
    <t>Sjóður</t>
  </si>
  <si>
    <t>Hlaupareikningar</t>
  </si>
  <si>
    <t>Aðrar skammtímakröfur</t>
  </si>
  <si>
    <t>Samtals Eignir</t>
  </si>
  <si>
    <t>Óráðstafað eigið fé</t>
  </si>
  <si>
    <t>Eigið fé</t>
  </si>
  <si>
    <t>Skuldir</t>
  </si>
  <si>
    <t>Samtals Eigið fé og Skuldir</t>
  </si>
  <si>
    <t>Samtals Eigið fé</t>
  </si>
  <si>
    <t>Samtals Skuldir</t>
  </si>
  <si>
    <t>Hagnaður / Tap</t>
  </si>
  <si>
    <t>Leiga á búnaði</t>
  </si>
  <si>
    <t>Sími, prentun og póstkostnaður</t>
  </si>
  <si>
    <t>Samtals - Tekjur</t>
  </si>
  <si>
    <t>Kostnaður landsliðspara-tekjur</t>
  </si>
  <si>
    <t>Grunnstyrkur- ýmislegt</t>
  </si>
  <si>
    <t>Ferðakostnaður á EM/HM Ungm/Ungl2</t>
  </si>
  <si>
    <t xml:space="preserve">Ferðakostnaður á EM/HM/NEC </t>
  </si>
  <si>
    <t>Verktakagreiðslur til landsliðsþjálfara</t>
  </si>
  <si>
    <t>Landsliðsæfingar+Æfingabúðir</t>
  </si>
  <si>
    <t>Verktakagreiðslur til annarra þjálfara</t>
  </si>
  <si>
    <t>Hæfileikamótun, ungir og efnilegir</t>
  </si>
  <si>
    <t>Beinn styrkur til íþróttafólks</t>
  </si>
  <si>
    <t>Kostnaður v/húsaleigu</t>
  </si>
  <si>
    <t>Menntun Landsliðsþjálfara</t>
  </si>
  <si>
    <t>Menntun alþjóðlegra dómara</t>
  </si>
  <si>
    <t>Kostnaður v. Fagteymis</t>
  </si>
  <si>
    <t>Kostnaður landsliðspara- gjöld</t>
  </si>
  <si>
    <t>Laun á skrifstofu og tengd gjöld</t>
  </si>
  <si>
    <t>Útbreiðsluverkefni</t>
  </si>
  <si>
    <t>Lögfræðikostnaður</t>
  </si>
  <si>
    <t>Önnur Útgjöld</t>
  </si>
  <si>
    <t>Styrkur v.Útbreiðslu</t>
  </si>
  <si>
    <t>Ferðakostnaður á EM/HM/NEC Fullorðna</t>
  </si>
  <si>
    <t>Áætlun</t>
  </si>
  <si>
    <t>Landsliðspör</t>
  </si>
  <si>
    <t>Gengismunnur</t>
  </si>
  <si>
    <t>Skammtímaskuldir</t>
  </si>
  <si>
    <t>Rekstrarreikningur 2025</t>
  </si>
  <si>
    <t>Efnahagsreikningur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</si>
</sst>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r.&quot;_-;\-* #,##0\ &quot;kr.&quot;_-;_-* &quot;-&quot;\ &quot;kr.&quot;_-;_-@_-"/>
    <numFmt numFmtId="164" formatCode="#,##0;\(#,##0\)"/>
    <numFmt numFmtId="165" formatCode="_-* #,##0\ _k_r_._-;\-* #,##0\ _k_r_._-;_-* &quot;-&quot;\ _k_r_.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333333"/>
      <name val="Source Sans Pro"/>
      <family val="2"/>
    </font>
    <font>
      <sz val="8"/>
      <color rgb="FFFF0000"/>
      <name val="Source Sans Pro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F4F4F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2" fontId="3" fillId="0" borderId="0" xfId="1" applyFont="1"/>
    <xf numFmtId="42" fontId="0" fillId="0" borderId="0" xfId="1" applyFont="1"/>
    <xf numFmtId="42" fontId="3" fillId="0" borderId="0" xfId="1" applyFont="1" applyFill="1"/>
    <xf numFmtId="3" fontId="0" fillId="0" borderId="0" xfId="0" applyNumberFormat="1"/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164" fontId="8" fillId="0" borderId="0" xfId="0" applyNumberFormat="1" applyFont="1"/>
    <xf numFmtId="42" fontId="0" fillId="0" borderId="0" xfId="1" applyFont="1" applyBorder="1"/>
    <xf numFmtId="42" fontId="3" fillId="0" borderId="0" xfId="0" applyNumberFormat="1" applyFont="1"/>
    <xf numFmtId="3" fontId="5" fillId="0" borderId="0" xfId="0" applyNumberFormat="1" applyFont="1"/>
    <xf numFmtId="3" fontId="3" fillId="0" borderId="0" xfId="0" applyNumberFormat="1" applyFont="1"/>
    <xf numFmtId="165" fontId="3" fillId="0" borderId="0" xfId="0" applyNumberFormat="1" applyFont="1" applyAlignment="1">
      <alignment horizontal="left"/>
    </xf>
    <xf numFmtId="164" fontId="1" fillId="0" borderId="2" xfId="0" applyNumberFormat="1" applyFont="1" applyBorder="1"/>
    <xf numFmtId="3" fontId="1" fillId="0" borderId="2" xfId="0" applyNumberFormat="1" applyFont="1" applyBorder="1"/>
    <xf numFmtId="164" fontId="8" fillId="3" borderId="0" xfId="0" applyNumberFormat="1" applyFont="1" applyFill="1"/>
    <xf numFmtId="164" fontId="0" fillId="3" borderId="0" xfId="0" applyNumberFormat="1" applyFill="1"/>
    <xf numFmtId="164" fontId="1" fillId="3" borderId="2" xfId="0" applyNumberFormat="1" applyFont="1" applyFill="1" applyBorder="1"/>
    <xf numFmtId="0" fontId="0" fillId="2" borderId="0" xfId="0" applyFill="1" applyAlignment="1">
      <alignment horizontal="center"/>
    </xf>
    <xf numFmtId="42" fontId="0" fillId="2" borderId="0" xfId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1" applyNumberFormat="1" applyFont="1" applyFill="1" applyAlignment="1">
      <alignment horizontal="center"/>
    </xf>
    <xf numFmtId="0" fontId="0" fillId="2" borderId="0" xfId="0" applyFill="1"/>
    <xf numFmtId="42" fontId="0" fillId="2" borderId="0" xfId="1" applyFont="1" applyFill="1"/>
    <xf numFmtId="164" fontId="5" fillId="2" borderId="0" xfId="0" applyNumberFormat="1" applyFont="1" applyFill="1"/>
    <xf numFmtId="164" fontId="3" fillId="2" borderId="0" xfId="0" applyNumberFormat="1" applyFont="1" applyFill="1"/>
    <xf numFmtId="164" fontId="0" fillId="2" borderId="0" xfId="0" applyNumberFormat="1" applyFill="1"/>
    <xf numFmtId="164" fontId="8" fillId="2" borderId="0" xfId="0" applyNumberFormat="1" applyFont="1" applyFill="1"/>
    <xf numFmtId="164" fontId="1" fillId="2" borderId="2" xfId="0" applyNumberFormat="1" applyFont="1" applyFill="1" applyBorder="1"/>
    <xf numFmtId="3" fontId="1" fillId="2" borderId="2" xfId="0" applyNumberFormat="1" applyFont="1" applyFill="1" applyBorder="1"/>
    <xf numFmtId="164" fontId="1" fillId="2" borderId="0" xfId="0" applyNumberFormat="1" applyFont="1" applyFill="1"/>
    <xf numFmtId="164" fontId="2" fillId="2" borderId="0" xfId="0" applyNumberFormat="1" applyFont="1" applyFill="1" applyAlignment="1">
      <alignment horizontal="center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topLeftCell="A43" zoomScale="87" zoomScaleNormal="87" workbookViewId="0">
      <selection activeCell="B68" sqref="B68"/>
    </sheetView>
  </sheetViews>
  <sheetFormatPr defaultRowHeight="14.4" x14ac:dyDescent="0.3"/>
  <cols>
    <col min="1" max="1" width="5.33203125" customWidth="1"/>
    <col min="2" max="2" width="28.6640625" customWidth="1"/>
    <col min="3" max="5" width="15.44140625" style="2" customWidth="1"/>
    <col min="6" max="8" width="15.44140625" style="35" customWidth="1"/>
    <col min="9" max="10" width="20.6640625" customWidth="1"/>
    <col min="11" max="11" width="14" customWidth="1"/>
    <col min="12" max="12" width="15.33203125" bestFit="1" customWidth="1"/>
    <col min="13" max="13" width="14" customWidth="1"/>
    <col min="14" max="14" width="15.6640625" customWidth="1"/>
    <col min="17" max="17" width="9.33203125" bestFit="1" customWidth="1"/>
  </cols>
  <sheetData>
    <row r="1" spans="1:14" ht="18" x14ac:dyDescent="0.35">
      <c r="B1" s="3" t="s">
        <v>70</v>
      </c>
      <c r="C1"/>
      <c r="D1"/>
      <c r="E1"/>
      <c r="F1" s="31"/>
      <c r="G1" s="31"/>
      <c r="H1" s="31"/>
    </row>
    <row r="2" spans="1:14" x14ac:dyDescent="0.3">
      <c r="C2" s="9"/>
      <c r="D2" s="9"/>
      <c r="E2" s="9"/>
      <c r="F2" s="27" t="s">
        <v>66</v>
      </c>
      <c r="G2" s="28" t="s">
        <v>66</v>
      </c>
      <c r="H2" s="28" t="s">
        <v>66</v>
      </c>
      <c r="I2" s="9"/>
      <c r="J2" s="9"/>
      <c r="K2" s="9"/>
      <c r="L2" s="9"/>
      <c r="M2" s="9"/>
      <c r="N2" s="9"/>
    </row>
    <row r="3" spans="1:14" ht="18" x14ac:dyDescent="0.35">
      <c r="A3" s="3"/>
      <c r="C3" s="6">
        <v>2023</v>
      </c>
      <c r="D3" s="6">
        <v>2024</v>
      </c>
      <c r="E3" s="6">
        <v>2025</v>
      </c>
      <c r="F3" s="30">
        <v>2025</v>
      </c>
      <c r="G3" s="30">
        <v>2026</v>
      </c>
      <c r="H3" s="30">
        <v>2027</v>
      </c>
      <c r="I3" s="9"/>
      <c r="J3" s="9"/>
      <c r="K3" s="9"/>
      <c r="L3" s="9"/>
      <c r="M3" s="9"/>
      <c r="N3" s="9"/>
    </row>
    <row r="4" spans="1:14" x14ac:dyDescent="0.3">
      <c r="A4" s="1" t="s">
        <v>0</v>
      </c>
      <c r="F4" s="31"/>
      <c r="G4" s="32"/>
      <c r="H4" s="32"/>
      <c r="I4" s="9"/>
      <c r="J4" s="9"/>
      <c r="K4" s="9"/>
      <c r="L4" s="9"/>
      <c r="M4" s="9"/>
      <c r="N4" s="9"/>
    </row>
    <row r="5" spans="1:14" s="4" customFormat="1" x14ac:dyDescent="0.3">
      <c r="A5"/>
      <c r="B5" t="s">
        <v>1</v>
      </c>
      <c r="C5" s="16">
        <f>16779542+1105000-4417370-3105000+2192794</f>
        <v>12554966</v>
      </c>
      <c r="D5" s="16">
        <f>13804769-D8-D7</f>
        <v>6556815</v>
      </c>
      <c r="E5" s="16">
        <v>16525177</v>
      </c>
      <c r="F5" s="33">
        <v>9550000</v>
      </c>
      <c r="G5" s="33">
        <v>10000000</v>
      </c>
      <c r="H5" s="33">
        <v>14000000</v>
      </c>
      <c r="I5" s="19"/>
      <c r="J5" s="8"/>
      <c r="K5" s="8"/>
      <c r="L5" s="8"/>
      <c r="M5" s="8"/>
      <c r="N5" s="8"/>
    </row>
    <row r="6" spans="1:14" s="4" customFormat="1" x14ac:dyDescent="0.3">
      <c r="A6"/>
      <c r="B6" t="s">
        <v>3</v>
      </c>
      <c r="C6" s="2">
        <v>7183998</v>
      </c>
      <c r="D6" s="2">
        <v>9642005</v>
      </c>
      <c r="E6" s="2">
        <v>10162622</v>
      </c>
      <c r="F6" s="34">
        <v>6600000</v>
      </c>
      <c r="G6" s="34">
        <v>7000000</v>
      </c>
      <c r="H6" s="34">
        <v>10000000</v>
      </c>
      <c r="I6" s="21"/>
      <c r="J6" s="8"/>
      <c r="K6" s="8"/>
      <c r="L6" s="8"/>
      <c r="M6" s="8"/>
      <c r="N6" s="8"/>
    </row>
    <row r="7" spans="1:14" s="4" customFormat="1" x14ac:dyDescent="0.3">
      <c r="A7"/>
      <c r="B7" t="s">
        <v>64</v>
      </c>
      <c r="C7" s="2">
        <f>2997503+1419867</f>
        <v>4417370</v>
      </c>
      <c r="D7" s="2">
        <f>1293678+2854276</f>
        <v>4147954</v>
      </c>
      <c r="E7" s="2">
        <f>2463755+2412504</f>
        <v>4876259</v>
      </c>
      <c r="F7" s="34">
        <v>2500000</v>
      </c>
      <c r="G7" s="34">
        <v>4500000</v>
      </c>
      <c r="H7" s="34">
        <v>4500000</v>
      </c>
      <c r="I7" s="20"/>
      <c r="J7" s="8"/>
      <c r="K7" s="8"/>
      <c r="L7" s="8"/>
      <c r="M7" s="8"/>
      <c r="N7" s="8"/>
    </row>
    <row r="8" spans="1:14" s="4" customFormat="1" x14ac:dyDescent="0.3">
      <c r="A8"/>
      <c r="B8" t="s">
        <v>2</v>
      </c>
      <c r="C8" s="2">
        <v>3105000</v>
      </c>
      <c r="D8" s="2">
        <v>3100000</v>
      </c>
      <c r="E8" s="2">
        <f>7213323-E7</f>
        <v>2337064</v>
      </c>
      <c r="F8" s="34">
        <v>3150000</v>
      </c>
      <c r="G8" s="34">
        <v>3150000</v>
      </c>
      <c r="H8" s="34">
        <v>3150000</v>
      </c>
      <c r="I8" s="8"/>
      <c r="J8" s="8"/>
      <c r="K8" s="8"/>
      <c r="L8" s="8"/>
      <c r="M8" s="8"/>
      <c r="N8" s="8"/>
    </row>
    <row r="9" spans="1:14" s="4" customFormat="1" x14ac:dyDescent="0.3">
      <c r="A9"/>
      <c r="B9" t="s">
        <v>5</v>
      </c>
      <c r="C9" s="2">
        <f>5270713+1587860</f>
        <v>6858573</v>
      </c>
      <c r="D9" s="2">
        <f>4631696+557814</f>
        <v>5189510</v>
      </c>
      <c r="E9" s="2">
        <f>7071468+1294483</f>
        <v>8365951</v>
      </c>
      <c r="F9" s="34">
        <v>5000000</v>
      </c>
      <c r="G9" s="34">
        <v>7000000</v>
      </c>
      <c r="H9" s="34">
        <v>8000000</v>
      </c>
      <c r="I9" s="8"/>
      <c r="J9" s="8"/>
      <c r="K9" s="8"/>
      <c r="L9" s="8"/>
      <c r="M9" s="8"/>
      <c r="N9" s="8"/>
    </row>
    <row r="10" spans="1:14" s="4" customFormat="1" x14ac:dyDescent="0.3">
      <c r="A10"/>
      <c r="B10" t="s">
        <v>4</v>
      </c>
      <c r="C10" s="2"/>
      <c r="D10" s="2"/>
      <c r="E10" s="2">
        <v>1000000</v>
      </c>
      <c r="F10" s="34">
        <v>1000000</v>
      </c>
      <c r="G10" s="34">
        <v>500000</v>
      </c>
      <c r="H10" s="34"/>
      <c r="I10" s="8"/>
      <c r="J10" s="8"/>
      <c r="K10" s="8"/>
      <c r="L10" s="8"/>
      <c r="M10" s="8"/>
      <c r="N10" s="8"/>
    </row>
    <row r="11" spans="1:14" s="4" customFormat="1" x14ac:dyDescent="0.3">
      <c r="A11"/>
      <c r="B11" t="s">
        <v>67</v>
      </c>
      <c r="C11" s="2"/>
      <c r="D11" s="2"/>
      <c r="E11" s="2"/>
      <c r="F11" s="34">
        <v>0</v>
      </c>
      <c r="G11" s="34">
        <v>500000</v>
      </c>
      <c r="H11" s="34"/>
      <c r="I11" s="10"/>
      <c r="J11" s="10"/>
      <c r="K11" s="10"/>
      <c r="L11" s="10"/>
      <c r="M11" s="10"/>
      <c r="N11" s="10"/>
    </row>
    <row r="12" spans="1:14" x14ac:dyDescent="0.3">
      <c r="B12" t="s">
        <v>46</v>
      </c>
      <c r="C12" s="2">
        <v>523806</v>
      </c>
      <c r="D12" s="2">
        <v>1745810</v>
      </c>
      <c r="E12" s="2">
        <v>0</v>
      </c>
      <c r="F12" s="34">
        <v>5000000</v>
      </c>
      <c r="G12" s="34"/>
      <c r="H12" s="34"/>
      <c r="I12" s="9"/>
      <c r="J12" s="9"/>
      <c r="K12" s="9"/>
      <c r="L12" s="9"/>
      <c r="M12" s="9"/>
      <c r="N12" s="9"/>
    </row>
    <row r="13" spans="1:14" ht="15" thickBot="1" x14ac:dyDescent="0.35">
      <c r="B13" s="1" t="s">
        <v>45</v>
      </c>
      <c r="C13" s="26">
        <f>SUM(C5:C12)</f>
        <v>34643713</v>
      </c>
      <c r="D13" s="26">
        <f>SUM(D5:D12)</f>
        <v>30382094</v>
      </c>
      <c r="E13" s="26">
        <f>SUM(E5:E12)</f>
        <v>43267073</v>
      </c>
      <c r="F13" s="37">
        <v>32800000</v>
      </c>
      <c r="G13" s="37">
        <v>32650000</v>
      </c>
      <c r="H13" s="37">
        <f>SUM(H5:H12)</f>
        <v>39650000</v>
      </c>
      <c r="I13" s="9"/>
      <c r="J13" s="9"/>
      <c r="K13" s="9"/>
      <c r="L13" s="9"/>
      <c r="M13" s="9"/>
      <c r="N13" s="9"/>
    </row>
    <row r="14" spans="1:14" ht="15" thickTop="1" x14ac:dyDescent="0.3">
      <c r="B14" s="1"/>
      <c r="I14" s="9"/>
      <c r="J14" s="9"/>
      <c r="K14" s="9"/>
      <c r="L14" s="9"/>
      <c r="M14" s="9"/>
      <c r="N14" s="9"/>
    </row>
    <row r="15" spans="1:14" ht="18" x14ac:dyDescent="0.35">
      <c r="A15" s="3"/>
      <c r="I15" s="9"/>
      <c r="J15" s="17"/>
      <c r="K15" s="9"/>
      <c r="L15" s="9"/>
      <c r="M15" s="9"/>
      <c r="N15" s="9"/>
    </row>
    <row r="16" spans="1:14" x14ac:dyDescent="0.3">
      <c r="A16" s="1" t="s">
        <v>23</v>
      </c>
      <c r="C16" s="6">
        <v>2023</v>
      </c>
      <c r="D16" s="6">
        <v>2024</v>
      </c>
      <c r="E16" s="6">
        <v>2025</v>
      </c>
      <c r="F16" s="29"/>
      <c r="G16" s="29"/>
      <c r="H16" s="29"/>
      <c r="I16" s="9"/>
      <c r="J16" s="9"/>
      <c r="K16" s="9"/>
      <c r="L16" s="9"/>
      <c r="M16" s="9"/>
      <c r="N16" s="9"/>
    </row>
    <row r="17" spans="1:14" x14ac:dyDescent="0.3">
      <c r="A17" s="1"/>
      <c r="B17" t="s">
        <v>47</v>
      </c>
      <c r="C17" s="25">
        <v>-1355000</v>
      </c>
      <c r="D17" s="25">
        <v>-750000</v>
      </c>
      <c r="E17" s="25">
        <v>0</v>
      </c>
      <c r="F17" s="35">
        <v>-1000000</v>
      </c>
      <c r="G17" s="35">
        <v>0</v>
      </c>
      <c r="H17" s="35">
        <v>0</v>
      </c>
      <c r="I17" s="9"/>
      <c r="J17" s="9"/>
      <c r="K17" s="9"/>
      <c r="L17" s="9"/>
      <c r="M17" s="9"/>
      <c r="N17" s="9"/>
    </row>
    <row r="18" spans="1:14" x14ac:dyDescent="0.3">
      <c r="A18" s="1"/>
      <c r="B18" t="s">
        <v>65</v>
      </c>
      <c r="C18" s="2">
        <v>-2383108</v>
      </c>
      <c r="D18" s="2">
        <v>-2528376</v>
      </c>
      <c r="E18" s="2">
        <v>-1981685</v>
      </c>
      <c r="F18" s="35">
        <v>-2000000</v>
      </c>
      <c r="G18" s="35">
        <v>-3150000</v>
      </c>
      <c r="H18" s="35">
        <v>-4000000</v>
      </c>
      <c r="I18" s="9"/>
      <c r="J18" s="9"/>
      <c r="K18" s="9"/>
      <c r="L18" s="9"/>
      <c r="M18" s="9"/>
      <c r="N18" s="9"/>
    </row>
    <row r="19" spans="1:14" x14ac:dyDescent="0.3">
      <c r="A19" s="1"/>
      <c r="B19" t="s">
        <v>48</v>
      </c>
      <c r="C19" s="16">
        <v>-2527205</v>
      </c>
      <c r="D19" s="16">
        <v>-2530000</v>
      </c>
      <c r="E19" s="16">
        <v>-2305519</v>
      </c>
      <c r="F19" s="36">
        <v>-2000000</v>
      </c>
      <c r="G19" s="36">
        <v>-2500000</v>
      </c>
      <c r="H19" s="36">
        <v>-4000000</v>
      </c>
      <c r="I19" s="9"/>
      <c r="J19" s="9"/>
      <c r="K19" s="9"/>
      <c r="L19" s="9"/>
      <c r="M19" s="9"/>
      <c r="N19" s="9"/>
    </row>
    <row r="20" spans="1:14" x14ac:dyDescent="0.3">
      <c r="A20" s="1"/>
      <c r="B20" t="s">
        <v>49</v>
      </c>
      <c r="C20" s="16">
        <v>-360000</v>
      </c>
      <c r="D20" s="16">
        <v>-180000</v>
      </c>
      <c r="E20" s="16">
        <v>-180000</v>
      </c>
      <c r="F20" s="36">
        <v>-500000</v>
      </c>
      <c r="G20" s="36">
        <v>-2802176</v>
      </c>
      <c r="H20" s="36">
        <v>-500000</v>
      </c>
      <c r="I20" s="9"/>
      <c r="J20" s="9"/>
      <c r="K20" s="9"/>
      <c r="L20" s="9"/>
      <c r="M20" s="9"/>
      <c r="N20" s="9"/>
    </row>
    <row r="21" spans="1:14" x14ac:dyDescent="0.3">
      <c r="A21" s="1"/>
      <c r="B21" s="4" t="s">
        <v>50</v>
      </c>
      <c r="C21" s="2">
        <v>0</v>
      </c>
      <c r="D21" s="2">
        <v>-683901</v>
      </c>
      <c r="E21" s="2">
        <v>0</v>
      </c>
      <c r="F21" s="35">
        <v>-250000</v>
      </c>
      <c r="G21" s="35">
        <v>0</v>
      </c>
      <c r="H21" s="35">
        <v>0</v>
      </c>
      <c r="I21" s="9"/>
      <c r="J21" s="9"/>
      <c r="K21" s="9"/>
      <c r="L21" s="9"/>
      <c r="M21" s="9"/>
      <c r="N21" s="9"/>
    </row>
    <row r="22" spans="1:14" x14ac:dyDescent="0.3">
      <c r="A22" s="1"/>
      <c r="B22" t="s">
        <v>51</v>
      </c>
      <c r="C22" s="2">
        <v>-1130000</v>
      </c>
      <c r="D22" s="2">
        <v>-1240000</v>
      </c>
      <c r="E22" s="2">
        <f>-7315615-E25</f>
        <v>-4865615</v>
      </c>
      <c r="F22" s="35">
        <v>-1000000</v>
      </c>
      <c r="G22" s="35">
        <v>-1000000</v>
      </c>
      <c r="H22" s="35">
        <v>-5000000</v>
      </c>
      <c r="I22" s="9"/>
      <c r="J22" s="9"/>
      <c r="K22" s="9"/>
      <c r="L22" s="9"/>
      <c r="M22" s="9"/>
      <c r="N22" s="9"/>
    </row>
    <row r="23" spans="1:14" x14ac:dyDescent="0.3">
      <c r="A23" s="1"/>
      <c r="B23" t="s">
        <v>52</v>
      </c>
      <c r="C23" s="2">
        <v>-3201391</v>
      </c>
      <c r="D23" s="2">
        <v>-2012773</v>
      </c>
      <c r="E23" s="2">
        <v>0</v>
      </c>
      <c r="F23" s="35">
        <v>-5525000</v>
      </c>
      <c r="G23" s="35">
        <v>-2200000</v>
      </c>
      <c r="H23" s="35">
        <v>-2000000</v>
      </c>
      <c r="I23" s="9"/>
      <c r="J23" s="9"/>
      <c r="K23" s="9"/>
      <c r="L23" s="9"/>
      <c r="M23" s="9"/>
      <c r="N23" s="9"/>
    </row>
    <row r="24" spans="1:14" x14ac:dyDescent="0.3">
      <c r="A24" s="1"/>
      <c r="B24" t="s">
        <v>53</v>
      </c>
      <c r="C24" s="2">
        <v>-1000000</v>
      </c>
      <c r="D24" s="2">
        <v>-980000</v>
      </c>
      <c r="E24" s="2">
        <v>0</v>
      </c>
      <c r="F24" s="35">
        <v>-1000000</v>
      </c>
      <c r="G24" s="35">
        <v>-560000</v>
      </c>
      <c r="H24" s="35">
        <v>0</v>
      </c>
      <c r="I24" s="9"/>
      <c r="J24" s="9"/>
      <c r="K24" s="9"/>
      <c r="L24" s="9"/>
      <c r="M24" s="9"/>
      <c r="N24" s="9"/>
    </row>
    <row r="25" spans="1:14" x14ac:dyDescent="0.3">
      <c r="A25" s="1"/>
      <c r="B25" t="s">
        <v>54</v>
      </c>
      <c r="C25" s="2">
        <v>-1000000</v>
      </c>
      <c r="D25" s="2">
        <v>-1800000</v>
      </c>
      <c r="E25" s="2">
        <f>-750000-500000-600000-600000</f>
        <v>-2450000</v>
      </c>
      <c r="F25" s="35">
        <v>-1000000</v>
      </c>
      <c r="G25" s="35">
        <v>-1750000</v>
      </c>
      <c r="H25" s="35">
        <v>-2500000</v>
      </c>
      <c r="I25" s="9"/>
      <c r="J25" s="9"/>
      <c r="K25" s="9"/>
      <c r="L25" s="9"/>
      <c r="M25" s="9"/>
      <c r="N25" s="9"/>
    </row>
    <row r="26" spans="1:14" x14ac:dyDescent="0.3">
      <c r="A26" s="1"/>
      <c r="B26" t="s">
        <v>55</v>
      </c>
      <c r="C26" s="2">
        <v>0</v>
      </c>
      <c r="D26" s="2">
        <v>0</v>
      </c>
      <c r="E26" s="2">
        <v>0</v>
      </c>
      <c r="F26" s="35">
        <v>-200000</v>
      </c>
      <c r="G26" s="35">
        <v>-100000</v>
      </c>
      <c r="H26" s="35">
        <v>-100000</v>
      </c>
      <c r="I26" s="9"/>
      <c r="J26" s="9"/>
      <c r="K26" s="9"/>
      <c r="L26" s="9"/>
      <c r="M26" s="9"/>
      <c r="N26" s="9"/>
    </row>
    <row r="27" spans="1:14" x14ac:dyDescent="0.3">
      <c r="A27" s="1"/>
      <c r="B27" t="s">
        <v>56</v>
      </c>
      <c r="C27" s="2">
        <v>-170000</v>
      </c>
      <c r="D27" s="2">
        <v>0</v>
      </c>
      <c r="E27" s="2">
        <v>0</v>
      </c>
      <c r="F27" s="35">
        <v>-400000</v>
      </c>
      <c r="G27" s="35">
        <v>-100000</v>
      </c>
      <c r="H27" s="35">
        <v>0</v>
      </c>
      <c r="I27" s="9"/>
      <c r="J27" s="9"/>
      <c r="K27" s="9"/>
      <c r="L27" s="9"/>
      <c r="M27" s="9"/>
      <c r="N27" s="9"/>
    </row>
    <row r="28" spans="1:14" x14ac:dyDescent="0.3">
      <c r="A28" s="1"/>
      <c r="B28" t="s">
        <v>57</v>
      </c>
      <c r="C28" s="2">
        <v>0</v>
      </c>
      <c r="D28" s="2">
        <v>0</v>
      </c>
      <c r="E28" s="2">
        <v>0</v>
      </c>
      <c r="F28" s="35">
        <v>-400000</v>
      </c>
      <c r="G28" s="35">
        <v>-200000</v>
      </c>
      <c r="H28" s="35">
        <v>0</v>
      </c>
      <c r="I28" s="9"/>
      <c r="J28" s="9"/>
      <c r="K28" s="9"/>
      <c r="L28" s="9"/>
      <c r="M28" s="9"/>
      <c r="N28" s="9"/>
    </row>
    <row r="29" spans="1:14" x14ac:dyDescent="0.3">
      <c r="A29" s="1"/>
      <c r="B29" t="s">
        <v>58</v>
      </c>
      <c r="C29" s="2">
        <v>-1000000</v>
      </c>
      <c r="D29" s="2">
        <v>-1000000</v>
      </c>
      <c r="E29" s="2">
        <v>0</v>
      </c>
      <c r="F29" s="35">
        <v>-500000</v>
      </c>
      <c r="G29" s="35">
        <v>-600000</v>
      </c>
      <c r="H29" s="35">
        <v>0</v>
      </c>
      <c r="I29" s="9"/>
      <c r="J29" s="9"/>
      <c r="K29" s="9"/>
      <c r="L29" s="9"/>
      <c r="M29" s="9"/>
      <c r="N29" s="9"/>
    </row>
    <row r="30" spans="1:14" x14ac:dyDescent="0.3">
      <c r="A30" s="1"/>
      <c r="B30" t="s">
        <v>59</v>
      </c>
      <c r="C30" s="2">
        <f>-3008188-200000+1141156</f>
        <v>-2067032</v>
      </c>
      <c r="D30" s="2">
        <v>-1171589</v>
      </c>
      <c r="E30" s="2">
        <v>0</v>
      </c>
      <c r="F30" s="35">
        <v>-3000000</v>
      </c>
      <c r="G30" s="35">
        <v>-2000000</v>
      </c>
      <c r="H30" s="35">
        <v>0</v>
      </c>
      <c r="I30" s="9"/>
      <c r="J30" s="9"/>
      <c r="K30" s="9"/>
      <c r="L30" s="9"/>
      <c r="M30" s="9"/>
      <c r="N30" s="9"/>
    </row>
    <row r="31" spans="1:14" ht="15" thickBot="1" x14ac:dyDescent="0.35">
      <c r="B31" s="1" t="s">
        <v>26</v>
      </c>
      <c r="C31" s="22">
        <f>SUM(C17:C30)</f>
        <v>-16193736</v>
      </c>
      <c r="D31" s="22">
        <f>SUM(D17:D30)</f>
        <v>-14876639</v>
      </c>
      <c r="E31" s="22">
        <f>SUM(E17:E30)</f>
        <v>-11782819</v>
      </c>
      <c r="F31" s="37">
        <v>-18775000</v>
      </c>
      <c r="G31" s="37">
        <v>-16962176</v>
      </c>
      <c r="H31" s="37">
        <f>SUM(H17:H30)</f>
        <v>-18100000</v>
      </c>
      <c r="I31" s="9"/>
      <c r="J31" s="9"/>
      <c r="K31" s="9"/>
      <c r="L31" s="9"/>
      <c r="M31" s="9"/>
      <c r="N31" s="9"/>
    </row>
    <row r="32" spans="1:14" ht="15" thickTop="1" x14ac:dyDescent="0.3">
      <c r="I32" s="9"/>
      <c r="J32" s="9"/>
      <c r="K32" s="9"/>
      <c r="L32" s="9"/>
      <c r="M32" s="9"/>
      <c r="N32" s="9"/>
    </row>
    <row r="33" spans="1:14" s="4" customFormat="1" x14ac:dyDescent="0.3">
      <c r="A33" s="1" t="s">
        <v>27</v>
      </c>
      <c r="B33"/>
      <c r="C33" s="6">
        <v>2023</v>
      </c>
      <c r="D33" s="6">
        <v>2024</v>
      </c>
      <c r="E33" s="6">
        <v>2025</v>
      </c>
      <c r="F33" s="29"/>
      <c r="G33" s="29"/>
      <c r="H33" s="29"/>
      <c r="I33" s="8"/>
      <c r="K33" s="8"/>
      <c r="L33" s="8"/>
      <c r="M33" s="8"/>
      <c r="N33" s="8"/>
    </row>
    <row r="34" spans="1:14" s="4" customFormat="1" x14ac:dyDescent="0.3">
      <c r="B34" t="s">
        <v>60</v>
      </c>
      <c r="C34" s="24">
        <f>-(3866712+278688+444672+77340+3864)</f>
        <v>-4671276</v>
      </c>
      <c r="D34" s="24">
        <f>-(4054174+292192+463810+466228+81085+4056-463810)</f>
        <v>-4897735</v>
      </c>
      <c r="E34" s="24">
        <f>-2661584-191824-142627-306080-53232-2664-2293160</f>
        <v>-5651171</v>
      </c>
      <c r="F34" s="33">
        <v>-5000000</v>
      </c>
      <c r="G34" s="33">
        <v>-4900000</v>
      </c>
      <c r="H34" s="33">
        <v>-6000000</v>
      </c>
      <c r="I34" s="8"/>
      <c r="J34" s="8"/>
      <c r="K34" s="8"/>
      <c r="L34" s="8"/>
      <c r="M34" s="8"/>
      <c r="N34" s="8"/>
    </row>
    <row r="35" spans="1:14" s="4" customFormat="1" x14ac:dyDescent="0.3">
      <c r="B35" t="s">
        <v>12</v>
      </c>
      <c r="C35" s="25">
        <v>-642451</v>
      </c>
      <c r="D35" s="25">
        <v>-671347</v>
      </c>
      <c r="E35" s="25">
        <v>-163062</v>
      </c>
      <c r="F35" s="34">
        <v>-550000</v>
      </c>
      <c r="G35" s="34">
        <v>-700000</v>
      </c>
      <c r="H35" s="34">
        <v>-700000</v>
      </c>
      <c r="I35" s="8"/>
      <c r="J35" s="8"/>
      <c r="K35" s="8"/>
      <c r="L35" s="8"/>
      <c r="M35" s="8"/>
      <c r="N35" s="8"/>
    </row>
    <row r="36" spans="1:14" s="4" customFormat="1" x14ac:dyDescent="0.3">
      <c r="B36" t="s">
        <v>44</v>
      </c>
      <c r="C36" s="2">
        <v>0</v>
      </c>
      <c r="D36" s="2"/>
      <c r="E36" s="2">
        <v>0</v>
      </c>
      <c r="F36" s="34">
        <v>0</v>
      </c>
      <c r="G36" s="34"/>
      <c r="H36" s="34"/>
      <c r="I36" s="8"/>
      <c r="J36" s="8"/>
      <c r="K36" s="8"/>
      <c r="L36" s="8"/>
      <c r="M36" s="8"/>
      <c r="N36" s="8"/>
    </row>
    <row r="37" spans="1:14" s="4" customFormat="1" x14ac:dyDescent="0.3">
      <c r="B37" t="s">
        <v>13</v>
      </c>
      <c r="C37" s="25">
        <v>-76303</v>
      </c>
      <c r="D37" s="25">
        <v>-117091</v>
      </c>
      <c r="E37" s="25">
        <v>-127817</v>
      </c>
      <c r="F37" s="34">
        <v>-150000</v>
      </c>
      <c r="G37" s="34">
        <v>-75000</v>
      </c>
      <c r="H37" s="34">
        <v>-150000</v>
      </c>
      <c r="I37" s="8"/>
      <c r="J37" s="8"/>
      <c r="K37" s="8"/>
      <c r="L37" s="8"/>
      <c r="M37" s="8"/>
      <c r="N37" s="8"/>
    </row>
    <row r="38" spans="1:14" s="4" customFormat="1" x14ac:dyDescent="0.3">
      <c r="B38" t="s">
        <v>14</v>
      </c>
      <c r="C38" s="25">
        <v>-125385</v>
      </c>
      <c r="D38" s="25">
        <v>-145213</v>
      </c>
      <c r="E38" s="25">
        <v>-330081</v>
      </c>
      <c r="F38" s="34">
        <v>-100000</v>
      </c>
      <c r="G38" s="34">
        <v>-150000</v>
      </c>
      <c r="H38" s="34">
        <v>-300000</v>
      </c>
      <c r="I38" s="10"/>
      <c r="J38" s="10"/>
      <c r="K38" s="10"/>
      <c r="L38" s="10"/>
      <c r="M38" s="10"/>
      <c r="N38" s="10"/>
    </row>
    <row r="39" spans="1:14" s="4" customFormat="1" x14ac:dyDescent="0.3">
      <c r="B39" t="s">
        <v>15</v>
      </c>
      <c r="C39" s="25">
        <f>-(860536+206529)</f>
        <v>-1067065</v>
      </c>
      <c r="D39" s="25"/>
      <c r="E39" s="25">
        <v>0</v>
      </c>
      <c r="F39" s="34"/>
      <c r="G39" s="34">
        <v>-400000</v>
      </c>
      <c r="H39" s="34">
        <v>0</v>
      </c>
      <c r="I39" s="8"/>
      <c r="J39" s="8"/>
      <c r="K39" s="8"/>
      <c r="L39" s="8"/>
      <c r="M39" s="8"/>
      <c r="N39" s="8"/>
    </row>
    <row r="40" spans="1:14" s="4" customFormat="1" x14ac:dyDescent="0.3">
      <c r="B40" t="s">
        <v>16</v>
      </c>
      <c r="C40" s="25"/>
      <c r="D40" s="25">
        <v>-73279</v>
      </c>
      <c r="E40" s="25">
        <v>0</v>
      </c>
      <c r="F40" s="34"/>
      <c r="G40" s="34"/>
      <c r="H40" s="34"/>
      <c r="I40" s="8"/>
      <c r="J40" s="8"/>
      <c r="K40" s="8"/>
      <c r="L40" s="8"/>
      <c r="M40" s="8"/>
      <c r="N40" s="8"/>
    </row>
    <row r="41" spans="1:14" s="4" customFormat="1" x14ac:dyDescent="0.3">
      <c r="B41" t="s">
        <v>17</v>
      </c>
      <c r="C41" s="25"/>
      <c r="D41" s="25"/>
      <c r="E41" s="25">
        <v>0</v>
      </c>
      <c r="F41" s="34">
        <v>0</v>
      </c>
      <c r="G41" s="34">
        <v>0</v>
      </c>
      <c r="H41" s="34">
        <v>0</v>
      </c>
      <c r="I41" s="8"/>
      <c r="J41" s="8"/>
      <c r="K41" s="8"/>
      <c r="L41" s="8"/>
      <c r="M41" s="8"/>
      <c r="N41" s="8"/>
    </row>
    <row r="42" spans="1:14" s="4" customFormat="1" x14ac:dyDescent="0.3">
      <c r="B42" t="s">
        <v>18</v>
      </c>
      <c r="C42" s="25">
        <v>-503884</v>
      </c>
      <c r="D42" s="25">
        <v>-46272</v>
      </c>
      <c r="E42" s="25">
        <v>-418392</v>
      </c>
      <c r="F42" s="34">
        <v>-200000</v>
      </c>
      <c r="G42" s="34">
        <v>-300000</v>
      </c>
      <c r="H42" s="34">
        <v>-4000000</v>
      </c>
      <c r="I42" s="8"/>
      <c r="J42" s="8"/>
      <c r="K42" s="8"/>
      <c r="L42" s="8"/>
      <c r="M42" s="8"/>
      <c r="N42" s="8"/>
    </row>
    <row r="43" spans="1:14" s="4" customFormat="1" x14ac:dyDescent="0.3">
      <c r="B43" t="s">
        <v>19</v>
      </c>
      <c r="C43" s="25">
        <v>-123828</v>
      </c>
      <c r="D43" s="25">
        <v>-96438</v>
      </c>
      <c r="E43" s="25">
        <v>0</v>
      </c>
      <c r="F43" s="34">
        <v>-100000</v>
      </c>
      <c r="G43" s="34">
        <v>-40000</v>
      </c>
      <c r="H43" s="34">
        <v>0</v>
      </c>
      <c r="I43" s="8"/>
      <c r="J43" s="8"/>
      <c r="K43" s="8"/>
      <c r="L43" s="8"/>
      <c r="M43" s="8"/>
      <c r="N43" s="8"/>
    </row>
    <row r="44" spans="1:14" s="4" customFormat="1" x14ac:dyDescent="0.3">
      <c r="B44" t="s">
        <v>61</v>
      </c>
      <c r="C44" s="25"/>
      <c r="D44" s="25"/>
      <c r="E44" s="25">
        <v>0</v>
      </c>
      <c r="F44" s="34">
        <v>0</v>
      </c>
      <c r="G44" s="34">
        <v>0</v>
      </c>
      <c r="H44" s="34">
        <v>0</v>
      </c>
      <c r="I44" s="8"/>
      <c r="J44" s="8"/>
      <c r="K44" s="8"/>
      <c r="L44" s="8"/>
      <c r="M44" s="8"/>
      <c r="N44" s="8"/>
    </row>
    <row r="45" spans="1:14" s="4" customFormat="1" x14ac:dyDescent="0.3">
      <c r="B45" t="s">
        <v>62</v>
      </c>
      <c r="C45" s="25"/>
      <c r="D45" s="25"/>
      <c r="E45" s="25">
        <f>-4564799-1314237</f>
        <v>-5879036</v>
      </c>
      <c r="F45" s="34">
        <v>0</v>
      </c>
      <c r="G45" s="34">
        <v>0</v>
      </c>
      <c r="H45" s="34">
        <v>0</v>
      </c>
      <c r="I45" s="8"/>
      <c r="J45" s="8"/>
      <c r="K45" s="8"/>
      <c r="L45" s="8"/>
      <c r="M45" s="8"/>
      <c r="N45" s="8"/>
    </row>
    <row r="46" spans="1:14" x14ac:dyDescent="0.3">
      <c r="A46" s="4"/>
      <c r="B46" t="s">
        <v>63</v>
      </c>
      <c r="C46" s="25"/>
      <c r="D46" s="25"/>
      <c r="E46" s="25">
        <v>-825152</v>
      </c>
      <c r="F46" s="34">
        <v>-150000</v>
      </c>
      <c r="G46" s="34">
        <v>-150000</v>
      </c>
      <c r="H46" s="34">
        <v>0</v>
      </c>
      <c r="I46" s="9"/>
      <c r="J46" s="9"/>
      <c r="K46" s="9"/>
      <c r="L46" s="9"/>
      <c r="M46" s="9"/>
      <c r="N46" s="9"/>
    </row>
    <row r="47" spans="1:14" ht="15" thickBot="1" x14ac:dyDescent="0.35">
      <c r="B47" s="1" t="s">
        <v>28</v>
      </c>
      <c r="C47" s="22">
        <f>SUM(C34:C46)</f>
        <v>-7210192</v>
      </c>
      <c r="D47" s="22">
        <f>SUM(D34:D46)</f>
        <v>-6047375</v>
      </c>
      <c r="E47" s="22">
        <f>SUM(E34:E46)</f>
        <v>-13394711</v>
      </c>
      <c r="F47" s="37">
        <v>-6100000</v>
      </c>
      <c r="G47" s="37">
        <v>-6715000</v>
      </c>
      <c r="H47" s="37">
        <f>SUM(H33:H46)</f>
        <v>-11150000</v>
      </c>
      <c r="I47" s="9"/>
      <c r="J47" s="9"/>
      <c r="K47" s="9"/>
      <c r="L47" s="9"/>
      <c r="M47" s="9"/>
      <c r="N47" s="9"/>
    </row>
    <row r="48" spans="1:14" ht="15" thickTop="1" x14ac:dyDescent="0.3">
      <c r="I48" s="9"/>
      <c r="J48" s="9"/>
      <c r="K48" s="9"/>
      <c r="L48" s="9"/>
      <c r="M48" s="9"/>
      <c r="N48" s="9"/>
    </row>
    <row r="49" spans="1:14" x14ac:dyDescent="0.3">
      <c r="A49" s="1" t="s">
        <v>29</v>
      </c>
      <c r="C49" s="6">
        <v>2023</v>
      </c>
      <c r="D49" s="6"/>
      <c r="E49" s="6"/>
      <c r="F49" s="29"/>
      <c r="G49" s="29"/>
      <c r="H49" s="29"/>
      <c r="I49" s="9"/>
      <c r="J49" s="9"/>
      <c r="K49" s="9"/>
      <c r="L49" s="9"/>
      <c r="M49" s="9"/>
      <c r="N49" s="9"/>
    </row>
    <row r="50" spans="1:14" s="4" customFormat="1" x14ac:dyDescent="0.3">
      <c r="A50" s="1"/>
      <c r="B50" t="s">
        <v>43</v>
      </c>
      <c r="C50" s="25">
        <v>-1596177</v>
      </c>
      <c r="D50" s="25">
        <v>-504800</v>
      </c>
      <c r="E50" s="25">
        <v>-175529</v>
      </c>
      <c r="F50" s="35">
        <v>-1000000</v>
      </c>
      <c r="G50" s="35">
        <v>-800000</v>
      </c>
      <c r="H50" s="35">
        <v>-300000</v>
      </c>
      <c r="I50" s="8"/>
      <c r="J50" s="8"/>
      <c r="K50" s="8"/>
      <c r="L50" s="8"/>
      <c r="M50" s="8"/>
      <c r="N50" s="8"/>
    </row>
    <row r="51" spans="1:14" s="4" customFormat="1" x14ac:dyDescent="0.3">
      <c r="B51" t="s">
        <v>6</v>
      </c>
      <c r="C51" s="25">
        <v>-1122280</v>
      </c>
      <c r="D51" s="25">
        <v>-1716880</v>
      </c>
      <c r="E51" s="25">
        <v>-2133155</v>
      </c>
      <c r="F51" s="34">
        <v>-1000000</v>
      </c>
      <c r="G51" s="34">
        <v>-1200000</v>
      </c>
      <c r="H51" s="34">
        <v>-1200000</v>
      </c>
      <c r="I51" s="8"/>
      <c r="J51" s="8"/>
      <c r="K51" s="8"/>
      <c r="L51" s="8"/>
      <c r="M51" s="8"/>
      <c r="N51" s="8"/>
    </row>
    <row r="52" spans="1:14" s="4" customFormat="1" x14ac:dyDescent="0.3">
      <c r="B52" t="s">
        <v>7</v>
      </c>
      <c r="C52" s="25">
        <v>-2666845</v>
      </c>
      <c r="D52" s="25">
        <v>-1056342</v>
      </c>
      <c r="E52" s="25">
        <v>-1857241</v>
      </c>
      <c r="F52" s="34">
        <v>-3550000</v>
      </c>
      <c r="G52" s="34">
        <v>-2800000</v>
      </c>
      <c r="H52" s="34">
        <v>-2800000</v>
      </c>
      <c r="I52" s="8"/>
      <c r="J52" s="8"/>
      <c r="K52" s="8"/>
      <c r="L52" s="8"/>
      <c r="M52" s="8"/>
      <c r="N52" s="8"/>
    </row>
    <row r="53" spans="1:14" s="4" customFormat="1" x14ac:dyDescent="0.3">
      <c r="B53" t="s">
        <v>8</v>
      </c>
      <c r="C53" s="25">
        <f>-(325767+877145)</f>
        <v>-1202912</v>
      </c>
      <c r="D53" s="25">
        <f>-880000</f>
        <v>-880000</v>
      </c>
      <c r="E53" s="25">
        <v>-385992</v>
      </c>
      <c r="F53" s="34">
        <v>-1000000</v>
      </c>
      <c r="G53" s="34">
        <v>-1000000</v>
      </c>
      <c r="H53" s="34">
        <v>-1000000</v>
      </c>
      <c r="I53" s="8"/>
      <c r="J53" s="8"/>
      <c r="K53" s="8"/>
      <c r="L53" s="8"/>
      <c r="M53" s="8"/>
      <c r="N53" s="8"/>
    </row>
    <row r="54" spans="1:14" s="4" customFormat="1" x14ac:dyDescent="0.3">
      <c r="B54" t="s">
        <v>9</v>
      </c>
      <c r="C54" s="25">
        <v>-3626663</v>
      </c>
      <c r="D54" s="25">
        <v>-3915509</v>
      </c>
      <c r="E54" s="25">
        <v>-2833818</v>
      </c>
      <c r="F54" s="34">
        <v>-3000000</v>
      </c>
      <c r="G54" s="34">
        <v>-3000000</v>
      </c>
      <c r="H54" s="34">
        <v>-3000000</v>
      </c>
      <c r="I54" s="8"/>
      <c r="J54" s="8"/>
      <c r="K54" s="8"/>
      <c r="L54" s="8"/>
      <c r="M54" s="8"/>
      <c r="N54" s="8"/>
    </row>
    <row r="55" spans="1:14" s="4" customFormat="1" x14ac:dyDescent="0.3">
      <c r="B55" t="s">
        <v>10</v>
      </c>
      <c r="C55" s="25"/>
      <c r="D55" s="25"/>
      <c r="E55" s="25">
        <v>0</v>
      </c>
      <c r="F55" s="34"/>
      <c r="G55" s="34">
        <v>0</v>
      </c>
      <c r="H55" s="34">
        <v>0</v>
      </c>
      <c r="I55" s="8"/>
      <c r="J55" s="8"/>
      <c r="K55" s="8"/>
      <c r="L55" s="8"/>
      <c r="M55" s="8"/>
      <c r="N55" s="8"/>
    </row>
    <row r="56" spans="1:14" x14ac:dyDescent="0.3">
      <c r="A56" s="4"/>
      <c r="B56" t="s">
        <v>11</v>
      </c>
      <c r="C56" s="25">
        <v>-2818</v>
      </c>
      <c r="D56" s="25">
        <v>-15049</v>
      </c>
      <c r="E56" s="25">
        <v>-87544</v>
      </c>
      <c r="F56" s="34">
        <v>-15000</v>
      </c>
      <c r="G56" s="34">
        <v>-25000</v>
      </c>
      <c r="H56" s="34">
        <v>-90000</v>
      </c>
      <c r="I56" s="9"/>
      <c r="J56" s="9"/>
      <c r="K56" s="9"/>
      <c r="L56" s="9"/>
      <c r="M56" s="9"/>
      <c r="N56" s="9"/>
    </row>
    <row r="57" spans="1:14" ht="15" thickBot="1" x14ac:dyDescent="0.35">
      <c r="B57" s="1" t="s">
        <v>30</v>
      </c>
      <c r="C57" s="22">
        <f>SUM(C50:C56)</f>
        <v>-10217695</v>
      </c>
      <c r="D57" s="22">
        <f>SUM(D50:D56)</f>
        <v>-8088580</v>
      </c>
      <c r="E57" s="22">
        <f>SUM(E50:E56)</f>
        <v>-7473279</v>
      </c>
      <c r="F57" s="37">
        <v>-9565000</v>
      </c>
      <c r="G57" s="37">
        <v>-8825000</v>
      </c>
      <c r="H57" s="37">
        <f>SUM(H50:H56)</f>
        <v>-8390000</v>
      </c>
      <c r="I57" s="9"/>
      <c r="J57" s="9"/>
      <c r="K57" s="9"/>
      <c r="L57" s="9"/>
      <c r="M57" s="9"/>
      <c r="N57" s="9"/>
    </row>
    <row r="58" spans="1:14" ht="15" thickTop="1" x14ac:dyDescent="0.3">
      <c r="I58" s="9"/>
      <c r="J58" s="9"/>
      <c r="K58" s="9"/>
      <c r="L58" s="9"/>
      <c r="M58" s="9"/>
      <c r="N58" s="9"/>
    </row>
    <row r="59" spans="1:14" s="4" customFormat="1" x14ac:dyDescent="0.3">
      <c r="A59" s="1" t="s">
        <v>24</v>
      </c>
      <c r="B59"/>
      <c r="C59" s="6">
        <v>2023</v>
      </c>
      <c r="D59" s="6"/>
      <c r="E59" s="6"/>
      <c r="F59" s="29"/>
      <c r="G59" s="29"/>
      <c r="H59" s="29"/>
      <c r="I59" s="8"/>
      <c r="J59" s="8"/>
      <c r="K59" s="8"/>
      <c r="L59" s="8"/>
      <c r="M59" s="8"/>
      <c r="N59" s="8"/>
    </row>
    <row r="60" spans="1:14" s="4" customFormat="1" x14ac:dyDescent="0.3">
      <c r="B60" t="s">
        <v>20</v>
      </c>
      <c r="C60" s="25">
        <v>299480</v>
      </c>
      <c r="D60" s="25">
        <v>765899</v>
      </c>
      <c r="E60" s="25">
        <v>175554</v>
      </c>
      <c r="F60" s="34">
        <v>50000</v>
      </c>
      <c r="G60" s="34">
        <v>100000</v>
      </c>
      <c r="H60" s="34">
        <v>200000</v>
      </c>
      <c r="I60" s="8"/>
      <c r="J60" s="8"/>
      <c r="K60" s="8"/>
      <c r="L60" s="8"/>
      <c r="M60" s="8"/>
      <c r="N60" s="8"/>
    </row>
    <row r="61" spans="1:14" s="4" customFormat="1" x14ac:dyDescent="0.3">
      <c r="B61" t="s">
        <v>21</v>
      </c>
      <c r="C61" s="25">
        <f>-(1626+20169)</f>
        <v>-21795</v>
      </c>
      <c r="D61" s="25">
        <v>-6808</v>
      </c>
      <c r="E61" s="25">
        <v>-16545</v>
      </c>
      <c r="F61" s="34">
        <v>0</v>
      </c>
      <c r="G61" s="34">
        <v>0</v>
      </c>
      <c r="H61" s="34">
        <v>-15000</v>
      </c>
      <c r="I61" s="8"/>
      <c r="J61" s="8"/>
      <c r="K61" s="8"/>
      <c r="L61" s="8"/>
      <c r="M61" s="8"/>
      <c r="N61" s="8"/>
    </row>
    <row r="62" spans="1:14" s="4" customFormat="1" x14ac:dyDescent="0.3">
      <c r="B62" t="s">
        <v>68</v>
      </c>
      <c r="C62" s="25"/>
      <c r="D62" s="25"/>
      <c r="E62" s="25">
        <v>0</v>
      </c>
      <c r="F62" s="34">
        <v>0</v>
      </c>
      <c r="G62" s="34">
        <v>0</v>
      </c>
      <c r="H62" s="34">
        <v>0</v>
      </c>
    </row>
    <row r="63" spans="1:14" x14ac:dyDescent="0.3">
      <c r="A63" s="4"/>
      <c r="B63" t="s">
        <v>22</v>
      </c>
      <c r="C63" s="25">
        <v>-65885</v>
      </c>
      <c r="D63" s="25">
        <v>-136031</v>
      </c>
      <c r="E63" s="25">
        <v>-38623</v>
      </c>
      <c r="F63" s="34">
        <v>-25000</v>
      </c>
      <c r="G63" s="34">
        <v>-22000</v>
      </c>
      <c r="H63" s="34">
        <v>-22000</v>
      </c>
    </row>
    <row r="64" spans="1:14" ht="15" thickBot="1" x14ac:dyDescent="0.35">
      <c r="B64" s="1" t="s">
        <v>25</v>
      </c>
      <c r="C64" s="22">
        <f>SUM(C60:C63)</f>
        <v>211800</v>
      </c>
      <c r="D64" s="22">
        <f>SUM(D60:D63)</f>
        <v>623060</v>
      </c>
      <c r="E64" s="22">
        <f>SUM(E60:E63)</f>
        <v>120386</v>
      </c>
      <c r="F64" s="37">
        <v>25000</v>
      </c>
      <c r="G64" s="37">
        <v>78000</v>
      </c>
      <c r="H64" s="37">
        <f>SUM(H60:H63)</f>
        <v>163000</v>
      </c>
    </row>
    <row r="65" spans="1:17" ht="15" thickTop="1" x14ac:dyDescent="0.3"/>
    <row r="66" spans="1:17" ht="15" thickBot="1" x14ac:dyDescent="0.35">
      <c r="B66" s="1" t="s">
        <v>42</v>
      </c>
      <c r="C66" s="23">
        <f t="shared" ref="C66:D66" si="0">C13+C31+C47+C57+C64</f>
        <v>1233890</v>
      </c>
      <c r="D66" s="23">
        <f t="shared" si="0"/>
        <v>1992560</v>
      </c>
      <c r="E66" s="23">
        <f t="shared" ref="E66" si="1">E13+E31+E47+E57+E64</f>
        <v>10736650</v>
      </c>
      <c r="F66" s="38">
        <v>-1640025</v>
      </c>
      <c r="G66" s="38">
        <v>225824</v>
      </c>
      <c r="H66" s="38">
        <f>H64+H57+H47+H31+H13</f>
        <v>2173000</v>
      </c>
    </row>
    <row r="67" spans="1:17" ht="15" thickTop="1" x14ac:dyDescent="0.3">
      <c r="F67" s="31"/>
      <c r="G67" s="31"/>
      <c r="H67" s="31"/>
    </row>
    <row r="68" spans="1:17" ht="18" x14ac:dyDescent="0.35">
      <c r="B68" s="3" t="s">
        <v>71</v>
      </c>
    </row>
    <row r="69" spans="1:17" ht="18" x14ac:dyDescent="0.35">
      <c r="B69" s="3"/>
    </row>
    <row r="70" spans="1:17" s="4" customFormat="1" ht="18.600000000000001" thickBot="1" x14ac:dyDescent="0.4">
      <c r="A70" s="3"/>
      <c r="B70"/>
      <c r="C70" s="6">
        <v>2023</v>
      </c>
      <c r="D70" s="6">
        <v>2024</v>
      </c>
      <c r="E70" s="6">
        <v>2025</v>
      </c>
      <c r="F70" s="29"/>
      <c r="G70" s="29"/>
      <c r="H70" s="29"/>
      <c r="I70"/>
      <c r="J70"/>
    </row>
    <row r="71" spans="1:17" s="4" customFormat="1" ht="15" thickBot="1" x14ac:dyDescent="0.35">
      <c r="B71" t="s">
        <v>32</v>
      </c>
      <c r="C71" s="2">
        <v>72018</v>
      </c>
      <c r="D71" s="2">
        <f>72018</f>
        <v>72018</v>
      </c>
      <c r="E71" s="2">
        <v>0</v>
      </c>
      <c r="F71" s="35"/>
      <c r="G71" s="35"/>
      <c r="H71" s="35"/>
      <c r="P71"/>
      <c r="Q71" s="14"/>
    </row>
    <row r="72" spans="1:17" s="4" customFormat="1" ht="15" thickBot="1" x14ac:dyDescent="0.35">
      <c r="B72" t="s">
        <v>31</v>
      </c>
      <c r="C72" s="2">
        <f>2291650+3333950</f>
        <v>5625600</v>
      </c>
      <c r="D72" s="2">
        <f>2819951+1513000</f>
        <v>4332951</v>
      </c>
      <c r="E72" s="2">
        <f>3000439+4043377</f>
        <v>7043816</v>
      </c>
      <c r="F72" s="35"/>
      <c r="G72" s="35"/>
      <c r="H72" s="35"/>
      <c r="I72" s="18"/>
      <c r="J72" s="18"/>
      <c r="O72" s="12"/>
      <c r="P72" s="13"/>
      <c r="Q72" s="15"/>
    </row>
    <row r="73" spans="1:17" s="4" customFormat="1" ht="15" thickBot="1" x14ac:dyDescent="0.35">
      <c r="B73" t="s">
        <v>33</v>
      </c>
      <c r="C73" s="2">
        <f>9587742+2531368+5493+985+82948</f>
        <v>12208536</v>
      </c>
      <c r="D73" s="2">
        <f>11692173+4051130+5805+1005+85036</f>
        <v>15835149</v>
      </c>
      <c r="E73" s="2">
        <f>18940398+5601753+6058+1012+4568</f>
        <v>24553789</v>
      </c>
      <c r="F73" s="35"/>
      <c r="G73" s="35"/>
      <c r="H73" s="35"/>
      <c r="I73" s="5"/>
      <c r="J73" s="5"/>
      <c r="O73" s="12"/>
      <c r="P73" s="13"/>
      <c r="Q73" s="15"/>
    </row>
    <row r="74" spans="1:17" x14ac:dyDescent="0.3">
      <c r="A74" s="4"/>
      <c r="B74" t="s">
        <v>34</v>
      </c>
      <c r="E74" s="2">
        <v>0</v>
      </c>
      <c r="I74" s="4"/>
      <c r="J74" s="4"/>
      <c r="O74" s="12"/>
      <c r="P74" s="13"/>
      <c r="Q74" s="14"/>
    </row>
    <row r="75" spans="1:17" ht="15" thickBot="1" x14ac:dyDescent="0.35">
      <c r="B75" s="1" t="s">
        <v>35</v>
      </c>
      <c r="C75" s="22">
        <f t="shared" ref="C75:D75" si="2">SUM(C71:C74)</f>
        <v>17906154</v>
      </c>
      <c r="D75" s="22">
        <f t="shared" si="2"/>
        <v>20240118</v>
      </c>
      <c r="E75" s="22">
        <f t="shared" ref="E75" si="3">SUM(E71:E74)</f>
        <v>31597605</v>
      </c>
      <c r="F75" s="39"/>
      <c r="G75" s="39"/>
      <c r="H75" s="39"/>
      <c r="I75" s="2"/>
    </row>
    <row r="76" spans="1:17" ht="15" thickTop="1" x14ac:dyDescent="0.3">
      <c r="I76" s="2"/>
      <c r="Q76" s="11"/>
    </row>
    <row r="78" spans="1:17" ht="18" x14ac:dyDescent="0.35">
      <c r="A78" s="3"/>
      <c r="C78" s="6">
        <v>2023</v>
      </c>
      <c r="D78" s="6">
        <v>2024</v>
      </c>
      <c r="E78" s="6">
        <v>2024</v>
      </c>
      <c r="F78" s="29"/>
      <c r="G78" s="29"/>
      <c r="H78" s="29"/>
    </row>
    <row r="79" spans="1:17" s="4" customFormat="1" ht="18" x14ac:dyDescent="0.35">
      <c r="A79" s="3" t="s">
        <v>37</v>
      </c>
      <c r="B79"/>
      <c r="C79" s="7"/>
      <c r="D79" s="7"/>
      <c r="E79" s="7"/>
      <c r="F79" s="40"/>
      <c r="G79" s="40"/>
      <c r="H79" s="40"/>
      <c r="I79" s="2"/>
      <c r="J79"/>
    </row>
    <row r="80" spans="1:17" x14ac:dyDescent="0.3">
      <c r="A80" s="4"/>
      <c r="B80" t="s">
        <v>36</v>
      </c>
      <c r="C80" s="2">
        <v>16264328</v>
      </c>
      <c r="D80" s="2">
        <f>D87-D85</f>
        <v>18256888</v>
      </c>
      <c r="E80" s="2">
        <f>E75-E85</f>
        <v>29304445</v>
      </c>
      <c r="I80" s="4"/>
      <c r="J80" s="5"/>
    </row>
    <row r="81" spans="1:10" ht="15" thickBot="1" x14ac:dyDescent="0.35">
      <c r="B81" s="1" t="s">
        <v>40</v>
      </c>
      <c r="C81" s="22">
        <f>SUM(C80)</f>
        <v>16264328</v>
      </c>
      <c r="D81" s="22">
        <f>C81+D66</f>
        <v>18256888</v>
      </c>
      <c r="E81" s="22">
        <f>E80</f>
        <v>29304445</v>
      </c>
      <c r="F81" s="39"/>
      <c r="G81" s="39"/>
      <c r="H81" s="39"/>
      <c r="I81" s="2"/>
      <c r="J81" s="4"/>
    </row>
    <row r="82" spans="1:10" ht="15" thickTop="1" x14ac:dyDescent="0.3">
      <c r="J82" s="4"/>
    </row>
    <row r="83" spans="1:10" s="4" customFormat="1" ht="18" x14ac:dyDescent="0.35">
      <c r="A83" s="3" t="s">
        <v>38</v>
      </c>
      <c r="B83"/>
      <c r="C83" s="7"/>
      <c r="D83" s="7"/>
      <c r="E83" s="7"/>
      <c r="F83" s="40"/>
      <c r="G83" s="40"/>
      <c r="H83" s="40"/>
      <c r="I83"/>
    </row>
    <row r="84" spans="1:10" x14ac:dyDescent="0.3">
      <c r="A84" s="4"/>
      <c r="B84" t="s">
        <v>69</v>
      </c>
      <c r="C84" s="2">
        <f>207632+23230+95260+1293308+22396+33484+490322-490322-33484</f>
        <v>1641826</v>
      </c>
      <c r="D84" s="2">
        <f>2818878+23978+98449+2087930+22396-2604591-463810</f>
        <v>1983230</v>
      </c>
      <c r="E84" s="2">
        <v>2293160</v>
      </c>
      <c r="I84" s="4"/>
      <c r="J84" s="4"/>
    </row>
    <row r="85" spans="1:10" ht="15" thickBot="1" x14ac:dyDescent="0.35">
      <c r="B85" s="1" t="s">
        <v>41</v>
      </c>
      <c r="C85" s="22">
        <f>SUM(C84)</f>
        <v>1641826</v>
      </c>
      <c r="D85" s="22">
        <f>SUM(D84)</f>
        <v>1983230</v>
      </c>
      <c r="E85" s="22">
        <f>SUM(E84)</f>
        <v>2293160</v>
      </c>
      <c r="F85" s="39"/>
      <c r="G85" s="39"/>
      <c r="H85" s="39"/>
      <c r="J85" s="4"/>
    </row>
    <row r="86" spans="1:10" ht="15" thickTop="1" x14ac:dyDescent="0.3">
      <c r="I86" s="2"/>
      <c r="J86" s="4"/>
    </row>
    <row r="87" spans="1:10" ht="15" thickBot="1" x14ac:dyDescent="0.35">
      <c r="B87" s="1" t="s">
        <v>39</v>
      </c>
      <c r="C87" s="22">
        <f>C85+C81</f>
        <v>17906154</v>
      </c>
      <c r="D87" s="22">
        <f>D81+D85</f>
        <v>20240118</v>
      </c>
      <c r="E87" s="22">
        <f>E81+E85</f>
        <v>31597605</v>
      </c>
      <c r="F87" s="39"/>
      <c r="G87" s="39"/>
      <c r="H87" s="39"/>
      <c r="J87" s="4"/>
    </row>
    <row r="88" spans="1:10" ht="15" thickTop="1" x14ac:dyDescent="0.3">
      <c r="J88" s="4"/>
    </row>
    <row r="89" spans="1:10" x14ac:dyDescent="0.3">
      <c r="J89" s="4"/>
    </row>
    <row r="90" spans="1:10" x14ac:dyDescent="0.3">
      <c r="J90" s="4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03F44-BDD2-41B9-AEE5-1BDC6A77F66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D1F9407FB7D64BA2F976F09B100D4C" ma:contentTypeVersion="7" ma:contentTypeDescription="Create a new document." ma:contentTypeScope="" ma:versionID="f078984e439208431c13559f12c1171f">
  <xsd:schema xmlns:xsd="http://www.w3.org/2001/XMLSchema" xmlns:xs="http://www.w3.org/2001/XMLSchema" xmlns:p="http://schemas.microsoft.com/office/2006/metadata/properties" xmlns:ns3="5457b980-035b-45f1-ba0f-6de6f143c6b1" targetNamespace="http://schemas.microsoft.com/office/2006/metadata/properties" ma:root="true" ma:fieldsID="8e039990c139582139927e6950a89e1b" ns3:_="">
    <xsd:import namespace="5457b980-035b-45f1-ba0f-6de6f143c6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7b980-035b-45f1-ba0f-6de6f143c6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5615EE-F06F-4791-9860-E10E619099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AC663F-C106-4CD6-8088-5090A07E982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457b980-035b-45f1-ba0f-6de6f143c6b1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AB79480-859F-4BAD-AB8A-C1E075AB2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57b980-035b-45f1-ba0f-6de6f143c6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Ólafur Már Hreinsson</dc:creator>
  <cp:lastModifiedBy>Atli Már Sigurðsson - EFI</cp:lastModifiedBy>
  <cp:lastPrinted>2023-05-16T12:02:21Z</cp:lastPrinted>
  <dcterms:created xsi:type="dcterms:W3CDTF">2016-05-23T12:15:03Z</dcterms:created>
  <dcterms:modified xsi:type="dcterms:W3CDTF">2026-05-15T11:46:17Z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0x0101007CD1F9407FB7D64BA2F976F09B100D4C</vt:lpwstr>
  </property>
</Properties>
</file>